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>
    <definedName name="input_Sec">Sheet1!$J$8</definedName>
    <definedName name="input_Z">Sheet1!$J$7</definedName>
    <definedName name="input_kV">Sheet1!$C$33</definedName>
    <definedName name="input_volts">Sheet1!$J$6</definedName>
    <definedName name="calc_Isc">Sheet1!$C$15</definedName>
    <definedName name="input_MVA">Sheet1!$J$5</definedName>
    <definedName name="input_Inches">Sheet1!$J$9</definedName>
    <definedName name="CONTAINS">LAMBDA(cell, range, NOT(ISERROR(MATCH(cell,range,0))))</definedName>
  </definedNames>
  <calcPr/>
</workbook>
</file>

<file path=xl/sharedStrings.xml><?xml version="1.0" encoding="utf-8"?>
<sst xmlns="http://schemas.openxmlformats.org/spreadsheetml/2006/main" count="60" uniqueCount="41">
  <si>
    <t xml:space="preserve">NFPA 70E Annex D Incident Energy and Arc Flash Boundary Calculation Methods </t>
  </si>
  <si>
    <t>Enter your values in the YELLOW boxes.</t>
  </si>
  <si>
    <t>MVA</t>
  </si>
  <si>
    <t>KVA</t>
  </si>
  <si>
    <t>Ralph Lee Calculation Method</t>
  </si>
  <si>
    <t>Volts</t>
  </si>
  <si>
    <t>%Z</t>
  </si>
  <si>
    <t xml:space="preserve"> </t>
  </si>
  <si>
    <t>Short Circuit Calculation</t>
  </si>
  <si>
    <t>t, Clearing Time, Seconds</t>
  </si>
  <si>
    <t>Isc = {(MVA*(10^6))/(1.732*Volts)}*{100/%Z}</t>
  </si>
  <si>
    <t>D, Distance from Arc Source, Inches</t>
  </si>
  <si>
    <t xml:space="preserve">Doughty Neal Paper D.3 </t>
  </si>
  <si>
    <t>(Use for 600 Volts or LESS)</t>
  </si>
  <si>
    <t>Energy in Open Air D.3.2b</t>
  </si>
  <si>
    <t>Isc, Amperes Short Circuit</t>
  </si>
  <si>
    <t>D.2.3a</t>
  </si>
  <si>
    <t>E=(5271*(D^-1.9593)*t)*((0.0016*(F^2))-(0.0076*F)+0.8938)</t>
  </si>
  <si>
    <t>Power of the Arc</t>
  </si>
  <si>
    <t>F, Bolted fault short-circuit current, kA</t>
  </si>
  <si>
    <t>P=1.732*Volts*Isc*(10^-6)*(0.707^2)</t>
  </si>
  <si>
    <t>MW</t>
  </si>
  <si>
    <t>D.2.3b</t>
  </si>
  <si>
    <t>Distance to a 2nd Degree Burn</t>
  </si>
  <si>
    <t>Dc={2.65*[1.732*Isc*Volts*10^-6]*0.1}^0.5</t>
  </si>
  <si>
    <t>cals/cm2</t>
  </si>
  <si>
    <t>D.3.2b</t>
  </si>
  <si>
    <t>Dc, Distance in Feet</t>
  </si>
  <si>
    <t>D.2.3c</t>
  </si>
  <si>
    <t>Arc in a Cubic Box D.3.3b</t>
  </si>
  <si>
    <t>Distance to a 2nd Degree Burn (Alternative Method)</t>
  </si>
  <si>
    <t>E=(1038.7*(D^-1.4738)*t)*((0.0093*(F^2))-(0.3453*(F))+5.975)</t>
  </si>
  <si>
    <t>Dc=[53*MVA*t]^0.5</t>
  </si>
  <si>
    <t>Dc (Alternative Method)</t>
  </si>
  <si>
    <t>D.2.3d</t>
  </si>
  <si>
    <t xml:space="preserve">Energy in Open Air D.2.4 </t>
  </si>
  <si>
    <t>(Use for MORE than 600 Volts)</t>
  </si>
  <si>
    <t>E=(793*F*kV*t)/(D^2)</t>
  </si>
  <si>
    <t>D.3.3b</t>
  </si>
  <si>
    <t>kV, system phase to phase voltage, kV</t>
  </si>
  <si>
    <t>D.2.4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</si>
</sst>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"/>
    <numFmt numFmtId="165" formatCode="0.000"/>
  </numFmts>
  <fonts count="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rgb="FF999999"/>
      <name val="Arial"/>
      <scheme val="minor"/>
    </font>
    <font>
      <b/>
      <color theme="1"/>
      <name val="Arial"/>
    </font>
    <font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26">
    <border/>
    <border>
      <left style="thick">
        <color rgb="FF00FF00"/>
      </left>
      <top style="thick">
        <color rgb="FF00FF00"/>
      </top>
    </border>
    <border>
      <top style="thick">
        <color rgb="FF00FF00"/>
      </top>
    </border>
    <border>
      <right style="thick">
        <color rgb="FF00FF00"/>
      </right>
      <top style="thick">
        <color rgb="FF00FF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FF00"/>
      </left>
    </border>
    <border>
      <right style="thick">
        <color rgb="FF00FF00"/>
      </right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ck">
        <color rgb="FF00FFFF"/>
      </left>
      <top style="thick">
        <color rgb="FF00FFFF"/>
      </top>
    </border>
    <border>
      <top style="thick">
        <color rgb="FF00FFFF"/>
      </top>
    </border>
    <border>
      <right style="thick">
        <color rgb="FF00FFFF"/>
      </right>
      <top style="thick">
        <color rgb="FF00FFFF"/>
      </top>
    </border>
    <border>
      <left style="thick">
        <color rgb="FF00FFFF"/>
      </left>
    </border>
    <border>
      <right style="thick">
        <color rgb="FF00FFFF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ck">
        <color rgb="FF00FFFF"/>
      </left>
      <bottom style="thick">
        <color rgb="FF00FFFF"/>
      </bottom>
    </border>
    <border>
      <bottom style="thick">
        <color rgb="FF00FFFF"/>
      </bottom>
    </border>
    <border>
      <right style="thick">
        <color rgb="FF00FFFF"/>
      </right>
      <bottom style="thick">
        <color rgb="FF00FFFF"/>
      </bottom>
    </border>
    <border>
      <left style="thick">
        <color rgb="FF00FF00"/>
      </left>
      <bottom style="thick">
        <color rgb="FF00FF00"/>
      </bottom>
    </border>
    <border>
      <bottom style="thick">
        <color rgb="FF00FF00"/>
      </bottom>
    </border>
    <border>
      <right style="thick">
        <color rgb="FF00FF00"/>
      </right>
      <bottom style="thick">
        <color rgb="FF00FF00"/>
      </bottom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1" fillId="0" fontId="1" numFmtId="0" xfId="0" applyAlignment="1" applyBorder="1" applyFont="1">
      <alignment readingOrder="0"/>
    </xf>
    <xf borderId="2" fillId="0" fontId="1" numFmtId="0" xfId="0" applyAlignment="1" applyBorder="1" applyFont="1">
      <alignment readingOrder="0"/>
    </xf>
    <xf borderId="2" fillId="0" fontId="2" numFmtId="0" xfId="0" applyBorder="1" applyFont="1"/>
    <xf borderId="3" fillId="0" fontId="2" numFmtId="0" xfId="0" applyBorder="1" applyFont="1"/>
    <xf borderId="4" fillId="2" fontId="2" numFmtId="0" xfId="0" applyAlignment="1" applyBorder="1" applyFill="1" applyFont="1">
      <alignment readingOrder="0"/>
    </xf>
    <xf borderId="0" fillId="0" fontId="3" numFmtId="0" xfId="0" applyFont="1"/>
    <xf borderId="0" fillId="0" fontId="3" numFmtId="0" xfId="0" applyAlignment="1" applyFont="1">
      <alignment readingOrder="0"/>
    </xf>
    <xf borderId="5" fillId="0" fontId="1" numFmtId="0" xfId="0" applyAlignment="1" applyBorder="1" applyFont="1">
      <alignment readingOrder="0"/>
    </xf>
    <xf borderId="6" fillId="0" fontId="2" numFmtId="0" xfId="0" applyBorder="1" applyFont="1"/>
    <xf borderId="5" fillId="0" fontId="2" numFmtId="0" xfId="0" applyBorder="1" applyFont="1"/>
    <xf borderId="7" fillId="0" fontId="1" numFmtId="0" xfId="0" applyAlignment="1" applyBorder="1" applyFont="1">
      <alignment readingOrder="0"/>
    </xf>
    <xf borderId="8" fillId="0" fontId="2" numFmtId="0" xfId="0" applyBorder="1" applyFont="1"/>
    <xf borderId="9" fillId="0" fontId="2" numFmtId="0" xfId="0" applyBorder="1" applyFont="1"/>
    <xf borderId="5" fillId="0" fontId="2" numFmtId="0" xfId="0" applyAlignment="1" applyBorder="1" applyFont="1">
      <alignment readingOrder="0"/>
    </xf>
    <xf borderId="10" fillId="0" fontId="2" numFmtId="0" xfId="0" applyAlignment="1" applyBorder="1" applyFont="1">
      <alignment readingOrder="0"/>
    </xf>
    <xf borderId="11" fillId="0" fontId="2" numFmtId="0" xfId="0" applyBorder="1" applyFont="1"/>
    <xf borderId="10" fillId="0" fontId="2" numFmtId="0" xfId="0" applyBorder="1" applyFont="1"/>
    <xf borderId="11" fillId="0" fontId="2" numFmtId="0" xfId="0" applyAlignment="1" applyBorder="1" applyFont="1">
      <alignment readingOrder="0"/>
    </xf>
    <xf borderId="12" fillId="0" fontId="2" numFmtId="0" xfId="0" applyBorder="1" applyFont="1"/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0" fillId="0" fontId="2" numFmtId="1" xfId="0" applyFont="1" applyNumberFormat="1"/>
    <xf borderId="5" fillId="0" fontId="2" numFmtId="1" xfId="0" applyBorder="1" applyFont="1" applyNumberFormat="1"/>
    <xf borderId="17" fillId="0" fontId="1" numFmtId="1" xfId="0" applyBorder="1" applyFont="1" applyNumberFormat="1"/>
    <xf borderId="18" fillId="0" fontId="1" numFmtId="0" xfId="0" applyAlignment="1" applyBorder="1" applyFont="1">
      <alignment readingOrder="0"/>
    </xf>
    <xf borderId="18" fillId="0" fontId="2" numFmtId="0" xfId="0" applyBorder="1" applyFont="1"/>
    <xf borderId="19" fillId="0" fontId="2" numFmtId="0" xfId="0" applyAlignment="1" applyBorder="1" applyFont="1">
      <alignment readingOrder="0"/>
    </xf>
    <xf borderId="10" fillId="0" fontId="2" numFmtId="2" xfId="0" applyBorder="1" applyFont="1" applyNumberFormat="1"/>
    <xf borderId="0" fillId="0" fontId="2" numFmtId="164" xfId="0" applyFont="1" applyNumberFormat="1"/>
    <xf borderId="5" fillId="0" fontId="2" numFmtId="164" xfId="0" applyBorder="1" applyFont="1" applyNumberFormat="1"/>
    <xf borderId="17" fillId="0" fontId="1" numFmtId="164" xfId="0" applyBorder="1" applyFont="1" applyNumberFormat="1"/>
    <xf borderId="17" fillId="0" fontId="1" numFmtId="2" xfId="0" applyBorder="1" applyFont="1" applyNumberFormat="1"/>
    <xf borderId="18" fillId="0" fontId="2" numFmtId="0" xfId="0" applyAlignment="1" applyBorder="1" applyFont="1">
      <alignment readingOrder="0"/>
    </xf>
    <xf borderId="19" fillId="0" fontId="2" numFmtId="0" xfId="0" applyBorder="1" applyFont="1"/>
    <xf borderId="7" fillId="0" fontId="4" numFmtId="0" xfId="0" applyAlignment="1" applyBorder="1" applyFont="1">
      <alignment readingOrder="0" vertical="bottom"/>
    </xf>
    <xf borderId="8" fillId="0" fontId="5" numFmtId="0" xfId="0" applyAlignment="1" applyBorder="1" applyFont="1">
      <alignment vertical="bottom"/>
    </xf>
    <xf borderId="8" fillId="0" fontId="5" numFmtId="0" xfId="0" applyAlignment="1" applyBorder="1" applyFont="1">
      <alignment readingOrder="0" vertical="bottom"/>
    </xf>
    <xf borderId="9" fillId="0" fontId="5" numFmtId="0" xfId="0" applyAlignment="1" applyBorder="1" applyFont="1">
      <alignment vertical="bottom"/>
    </xf>
    <xf borderId="10" fillId="0" fontId="5" numFmtId="0" xfId="0" applyAlignment="1" applyBorder="1" applyFont="1">
      <alignment readingOrder="0" vertical="bottom"/>
    </xf>
    <xf borderId="0" fillId="0" fontId="5" numFmtId="0" xfId="0" applyAlignment="1" applyFont="1">
      <alignment vertical="bottom"/>
    </xf>
    <xf borderId="11" fillId="0" fontId="5" numFmtId="0" xfId="0" applyAlignment="1" applyBorder="1" applyFont="1">
      <alignment vertical="bottom"/>
    </xf>
    <xf borderId="10" fillId="0" fontId="5" numFmtId="0" xfId="0" applyAlignment="1" applyBorder="1" applyFont="1">
      <alignment vertical="bottom"/>
    </xf>
    <xf borderId="10" fillId="0" fontId="5" numFmtId="165" xfId="0" applyAlignment="1" applyBorder="1" applyFont="1" applyNumberFormat="1">
      <alignment horizontal="right" vertical="bottom"/>
    </xf>
    <xf borderId="17" fillId="0" fontId="1" numFmtId="2" xfId="0" applyAlignment="1" applyBorder="1" applyFont="1" applyNumberFormat="1">
      <alignment readingOrder="0"/>
    </xf>
    <xf borderId="10" fillId="0" fontId="5" numFmtId="165" xfId="0" applyAlignment="1" applyBorder="1" applyFont="1" applyNumberFormat="1">
      <alignment horizontal="right" readingOrder="0" vertical="bottom"/>
    </xf>
    <xf borderId="20" fillId="0" fontId="2" numFmtId="0" xfId="0" applyBorder="1" applyFont="1"/>
    <xf borderId="21" fillId="0" fontId="2" numFmtId="0" xfId="0" applyBorder="1" applyFont="1"/>
    <xf borderId="22" fillId="0" fontId="2" numFmtId="0" xfId="0" applyBorder="1" applyFont="1"/>
    <xf borderId="10" fillId="0" fontId="5" numFmtId="0" xfId="0" applyAlignment="1" applyBorder="1" applyFont="1">
      <alignment horizontal="right" vertical="bottom"/>
    </xf>
    <xf borderId="0" fillId="0" fontId="5" numFmtId="0" xfId="0" applyAlignment="1" applyFont="1">
      <alignment readingOrder="0" vertical="bottom"/>
    </xf>
    <xf borderId="17" fillId="0" fontId="4" numFmtId="2" xfId="0" applyAlignment="1" applyBorder="1" applyFont="1" applyNumberFormat="1">
      <alignment horizontal="right" vertical="bottom"/>
    </xf>
    <xf borderId="18" fillId="0" fontId="4" numFmtId="0" xfId="0" applyAlignment="1" applyBorder="1" applyFont="1">
      <alignment vertical="bottom"/>
    </xf>
    <xf borderId="18" fillId="0" fontId="5" numFmtId="0" xfId="0" applyAlignment="1" applyBorder="1" applyFont="1">
      <alignment vertical="bottom"/>
    </xf>
    <xf borderId="19" fillId="0" fontId="5" numFmtId="0" xfId="0" applyAlignment="1" applyBorder="1" applyFont="1">
      <alignment vertical="bottom"/>
    </xf>
    <xf borderId="23" fillId="0" fontId="2" numFmtId="0" xfId="0" applyBorder="1" applyFont="1"/>
    <xf borderId="24" fillId="0" fontId="2" numFmtId="0" xfId="0" applyBorder="1" applyFont="1"/>
    <xf borderId="25" fillId="0" fontId="2" numFmtId="0" xfId="0" applyBorder="1" applyFont="1"/>
  </cellXfs>
  <cellStyles count="1">
    <cellStyle xfId="0" name="Normal" builtinId="0"/>
  </cellStyles>
  <dxfs count="3">
    <dxf>
      <font/>
      <fill>
        <patternFill patternType="solid">
          <fgColor rgb="FFB7E1CD"/>
          <bgColor rgb="FFB7E1CD"/>
        </patternFill>
      </fill>
      <border/>
    </dxf>
    <dxf>
      <font>
        <b/>
        <color rgb="FFFF0000"/>
      </font>
      <fill>
        <patternFill patternType="none"/>
      </fill>
      <border/>
    </dxf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4.0"/>
    <col customWidth="1" min="2" max="2" width="5.38"/>
    <col customWidth="1" min="7" max="7" width="5.0"/>
    <col customWidth="1" min="8" max="8" width="5.88"/>
    <col customWidth="1" min="9" max="9" width="4.13"/>
    <col customWidth="1" min="14" max="14" width="4.13"/>
  </cols>
  <sheetData>
    <row r="1">
      <c r="A1" s="1"/>
      <c r="B1" s="1"/>
      <c r="C1" s="1"/>
    </row>
    <row r="2">
      <c r="A2" s="1"/>
      <c r="B2" s="1" t="s">
        <v>0</v>
      </c>
      <c r="C2" s="1"/>
    </row>
    <row r="3">
      <c r="A3" s="1"/>
      <c r="B3" s="2" t="s">
        <v>1</v>
      </c>
      <c r="C3" s="1"/>
    </row>
    <row r="4">
      <c r="A4" s="1"/>
      <c r="B4" s="1"/>
      <c r="C4" s="1"/>
    </row>
    <row r="5">
      <c r="A5" s="1"/>
      <c r="B5" s="3"/>
      <c r="C5" s="4"/>
      <c r="D5" s="5"/>
      <c r="E5" s="5"/>
      <c r="F5" s="5"/>
      <c r="G5" s="6"/>
      <c r="J5" s="7">
        <v>0.05</v>
      </c>
      <c r="K5" s="2" t="s">
        <v>2</v>
      </c>
      <c r="L5" s="8">
        <f>J5*1000</f>
        <v>50</v>
      </c>
      <c r="M5" s="9" t="s">
        <v>3</v>
      </c>
    </row>
    <row r="6">
      <c r="A6" s="1"/>
      <c r="B6" s="10"/>
      <c r="C6" s="1" t="s">
        <v>4</v>
      </c>
      <c r="G6" s="11"/>
      <c r="J6" s="7">
        <v>480.0</v>
      </c>
      <c r="K6" s="2" t="s">
        <v>5</v>
      </c>
    </row>
    <row r="7">
      <c r="B7" s="12"/>
      <c r="G7" s="11"/>
      <c r="J7" s="7">
        <v>3.5</v>
      </c>
      <c r="K7" s="2" t="s">
        <v>6</v>
      </c>
      <c r="M7" s="2" t="s">
        <v>7</v>
      </c>
    </row>
    <row r="8">
      <c r="A8" s="1"/>
      <c r="B8" s="10"/>
      <c r="C8" s="13" t="s">
        <v>8</v>
      </c>
      <c r="D8" s="14"/>
      <c r="E8" s="14"/>
      <c r="F8" s="15"/>
      <c r="G8" s="11"/>
      <c r="J8" s="7">
        <v>1.0</v>
      </c>
      <c r="K8" s="2" t="s">
        <v>9</v>
      </c>
    </row>
    <row r="9">
      <c r="A9" s="2"/>
      <c r="B9" s="16"/>
      <c r="C9" s="17" t="s">
        <v>10</v>
      </c>
      <c r="F9" s="18"/>
      <c r="G9" s="11"/>
      <c r="J9" s="7">
        <v>18.0</v>
      </c>
      <c r="K9" s="2" t="s">
        <v>11</v>
      </c>
    </row>
    <row r="10">
      <c r="B10" s="12"/>
      <c r="C10" s="19"/>
      <c r="F10" s="18"/>
      <c r="G10" s="11"/>
    </row>
    <row r="11">
      <c r="A11" s="2"/>
      <c r="B11" s="16"/>
      <c r="C11" s="17">
        <f>input_MVA</f>
        <v>0.05</v>
      </c>
      <c r="D11" s="2" t="s">
        <v>2</v>
      </c>
      <c r="E11" s="2" t="s">
        <v>7</v>
      </c>
      <c r="F11" s="20" t="s">
        <v>7</v>
      </c>
      <c r="G11" s="11"/>
      <c r="I11" s="21"/>
      <c r="J11" s="22"/>
      <c r="K11" s="22"/>
      <c r="L11" s="22"/>
      <c r="M11" s="22"/>
      <c r="N11" s="23"/>
    </row>
    <row r="12">
      <c r="A12" s="2"/>
      <c r="B12" s="16"/>
      <c r="C12" s="17">
        <f>input_volts</f>
        <v>480</v>
      </c>
      <c r="D12" s="2" t="s">
        <v>5</v>
      </c>
      <c r="F12" s="18"/>
      <c r="G12" s="11"/>
      <c r="I12" s="24"/>
      <c r="J12" s="1" t="s">
        <v>12</v>
      </c>
      <c r="L12" s="2" t="s">
        <v>13</v>
      </c>
      <c r="N12" s="25"/>
    </row>
    <row r="13">
      <c r="A13" s="2"/>
      <c r="B13" s="16"/>
      <c r="C13" s="17">
        <f>J7</f>
        <v>3.5</v>
      </c>
      <c r="D13" s="2" t="s">
        <v>6</v>
      </c>
      <c r="E13" s="2" t="s">
        <v>7</v>
      </c>
      <c r="F13" s="18"/>
      <c r="G13" s="11"/>
      <c r="I13" s="24"/>
      <c r="N13" s="25"/>
    </row>
    <row r="14">
      <c r="B14" s="12"/>
      <c r="C14" s="19"/>
      <c r="F14" s="18"/>
      <c r="G14" s="11"/>
      <c r="I14" s="24"/>
      <c r="J14" s="13" t="s">
        <v>14</v>
      </c>
      <c r="K14" s="14"/>
      <c r="L14" s="14"/>
      <c r="M14" s="15"/>
      <c r="N14" s="25"/>
    </row>
    <row r="15">
      <c r="A15" s="26"/>
      <c r="B15" s="27"/>
      <c r="C15" s="28">
        <f t="array" ref="C15">(input_MVA*(10^6))/(1.732*input_volts)*100/input_Z</f>
        <v>1718.354778</v>
      </c>
      <c r="D15" s="29" t="s">
        <v>15</v>
      </c>
      <c r="E15" s="30"/>
      <c r="F15" s="31" t="s">
        <v>16</v>
      </c>
      <c r="G15" s="11"/>
      <c r="I15" s="24"/>
      <c r="J15" s="17" t="s">
        <v>17</v>
      </c>
      <c r="M15" s="18"/>
      <c r="N15" s="25"/>
    </row>
    <row r="16">
      <c r="B16" s="12"/>
      <c r="G16" s="11"/>
      <c r="I16" s="24"/>
      <c r="J16" s="19"/>
      <c r="M16" s="18"/>
      <c r="N16" s="25"/>
    </row>
    <row r="17">
      <c r="A17" s="1"/>
      <c r="B17" s="10"/>
      <c r="C17" s="13" t="s">
        <v>18</v>
      </c>
      <c r="D17" s="14"/>
      <c r="E17" s="14"/>
      <c r="F17" s="15"/>
      <c r="G17" s="11"/>
      <c r="I17" s="24"/>
      <c r="J17" s="32">
        <f>calc_Isc/1000</f>
        <v>1.718354778</v>
      </c>
      <c r="K17" s="2" t="s">
        <v>19</v>
      </c>
      <c r="M17" s="18"/>
      <c r="N17" s="25"/>
    </row>
    <row r="18">
      <c r="A18" s="2"/>
      <c r="B18" s="16"/>
      <c r="C18" s="17" t="s">
        <v>20</v>
      </c>
      <c r="F18" s="18"/>
      <c r="G18" s="11"/>
      <c r="I18" s="24"/>
      <c r="J18" s="17" t="s">
        <v>7</v>
      </c>
      <c r="K18" s="2" t="s">
        <v>7</v>
      </c>
      <c r="M18" s="18"/>
      <c r="N18" s="25"/>
    </row>
    <row r="19">
      <c r="A19" s="33"/>
      <c r="B19" s="34"/>
      <c r="C19" s="35">
        <f>1.732*input_volts*calc_Isc*(10^-6)*(0.707^2)</f>
        <v>0.71407</v>
      </c>
      <c r="D19" s="29" t="s">
        <v>21</v>
      </c>
      <c r="E19" s="30"/>
      <c r="F19" s="31" t="s">
        <v>22</v>
      </c>
      <c r="G19" s="11"/>
      <c r="I19" s="24"/>
      <c r="J19" s="19">
        <f>input_Sec</f>
        <v>1</v>
      </c>
      <c r="K19" s="2" t="s">
        <v>9</v>
      </c>
      <c r="M19" s="18"/>
      <c r="N19" s="25"/>
    </row>
    <row r="20">
      <c r="B20" s="12"/>
      <c r="G20" s="11"/>
      <c r="I20" s="24"/>
      <c r="J20" s="19">
        <f>input_Inches</f>
        <v>18</v>
      </c>
      <c r="K20" s="2" t="s">
        <v>11</v>
      </c>
      <c r="M20" s="18"/>
      <c r="N20" s="25"/>
    </row>
    <row r="21">
      <c r="A21" s="1"/>
      <c r="B21" s="10"/>
      <c r="C21" s="13" t="s">
        <v>23</v>
      </c>
      <c r="D21" s="14"/>
      <c r="E21" s="14"/>
      <c r="F21" s="15"/>
      <c r="G21" s="11"/>
      <c r="I21" s="24"/>
      <c r="J21" s="19"/>
      <c r="M21" s="18"/>
      <c r="N21" s="25"/>
    </row>
    <row r="22">
      <c r="A22" s="2"/>
      <c r="B22" s="16"/>
      <c r="C22" s="17" t="s">
        <v>24</v>
      </c>
      <c r="F22" s="18"/>
      <c r="G22" s="11"/>
      <c r="I22" s="24"/>
      <c r="J22" s="36">
        <f>(5271*(input_Inches^-1.9593)*input_Sec)*((0.0016*((calc_Isc/1000)^2))-(0.0076*(calc_Isc/1000))+0.8938)</f>
        <v>16.20350411</v>
      </c>
      <c r="K22" s="29" t="s">
        <v>25</v>
      </c>
      <c r="L22" s="37" t="s">
        <v>26</v>
      </c>
      <c r="M22" s="38"/>
      <c r="N22" s="25"/>
    </row>
    <row r="23">
      <c r="A23" s="33"/>
      <c r="B23" s="34"/>
      <c r="C23" s="36">
        <f t="array" ref="C23">2.65*(1.732*calc_Isc*input_volts*(10^-6))*0.1^0.5</f>
        <v>0.6152815848</v>
      </c>
      <c r="D23" s="29" t="s">
        <v>27</v>
      </c>
      <c r="E23" s="30"/>
      <c r="F23" s="31" t="s">
        <v>28</v>
      </c>
      <c r="G23" s="11"/>
      <c r="I23" s="24"/>
      <c r="N23" s="25"/>
    </row>
    <row r="24">
      <c r="B24" s="12"/>
      <c r="G24" s="11"/>
      <c r="I24" s="24"/>
      <c r="J24" s="13" t="s">
        <v>29</v>
      </c>
      <c r="K24" s="14"/>
      <c r="L24" s="14"/>
      <c r="M24" s="15"/>
      <c r="N24" s="25"/>
    </row>
    <row r="25">
      <c r="A25" s="1"/>
      <c r="B25" s="10"/>
      <c r="C25" s="13" t="s">
        <v>30</v>
      </c>
      <c r="D25" s="14"/>
      <c r="E25" s="14"/>
      <c r="F25" s="15"/>
      <c r="G25" s="11"/>
      <c r="I25" s="24"/>
      <c r="J25" s="17" t="s">
        <v>31</v>
      </c>
      <c r="M25" s="18"/>
      <c r="N25" s="25"/>
    </row>
    <row r="26">
      <c r="A26" s="2"/>
      <c r="B26" s="16"/>
      <c r="C26" s="17" t="s">
        <v>32</v>
      </c>
      <c r="F26" s="18"/>
      <c r="G26" s="11"/>
      <c r="I26" s="24"/>
      <c r="J26" s="19"/>
      <c r="M26" s="18"/>
      <c r="N26" s="25"/>
    </row>
    <row r="27">
      <c r="A27" s="33"/>
      <c r="B27" s="34"/>
      <c r="C27" s="36">
        <f>(53*input_MVA*input_Sec)^0.5</f>
        <v>1.62788206</v>
      </c>
      <c r="D27" s="29" t="s">
        <v>33</v>
      </c>
      <c r="E27" s="30"/>
      <c r="F27" s="31" t="s">
        <v>34</v>
      </c>
      <c r="G27" s="11"/>
      <c r="I27" s="24"/>
      <c r="J27" s="32">
        <f>calc_Isc/1000</f>
        <v>1.718354778</v>
      </c>
      <c r="K27" s="2" t="s">
        <v>19</v>
      </c>
      <c r="M27" s="18"/>
      <c r="N27" s="25"/>
    </row>
    <row r="28">
      <c r="B28" s="12"/>
      <c r="G28" s="11"/>
      <c r="I28" s="24"/>
      <c r="J28" s="19"/>
      <c r="K28" s="2" t="s">
        <v>7</v>
      </c>
      <c r="M28" s="18"/>
      <c r="N28" s="25"/>
    </row>
    <row r="29">
      <c r="A29" s="1"/>
      <c r="B29" s="12"/>
      <c r="C29" s="39" t="s">
        <v>35</v>
      </c>
      <c r="D29" s="40"/>
      <c r="E29" s="41" t="s">
        <v>36</v>
      </c>
      <c r="F29" s="42"/>
      <c r="G29" s="11"/>
      <c r="I29" s="24"/>
      <c r="J29" s="19">
        <f>input_Sec</f>
        <v>1</v>
      </c>
      <c r="K29" s="2" t="s">
        <v>9</v>
      </c>
      <c r="M29" s="18"/>
      <c r="N29" s="25"/>
    </row>
    <row r="30">
      <c r="A30" s="2"/>
      <c r="B30" s="12"/>
      <c r="C30" s="43" t="s">
        <v>37</v>
      </c>
      <c r="D30" s="44"/>
      <c r="E30" s="44"/>
      <c r="F30" s="45"/>
      <c r="G30" s="11"/>
      <c r="I30" s="24"/>
      <c r="J30" s="19">
        <f>input_Inches</f>
        <v>18</v>
      </c>
      <c r="K30" s="2" t="s">
        <v>11</v>
      </c>
      <c r="M30" s="18"/>
      <c r="N30" s="25"/>
    </row>
    <row r="31">
      <c r="B31" s="12"/>
      <c r="C31" s="46"/>
      <c r="D31" s="44"/>
      <c r="E31" s="44"/>
      <c r="F31" s="45"/>
      <c r="G31" s="11"/>
      <c r="I31" s="24"/>
      <c r="J31" s="17"/>
      <c r="M31" s="18"/>
      <c r="N31" s="25"/>
    </row>
    <row r="32">
      <c r="A32" s="2"/>
      <c r="B32" s="12"/>
      <c r="C32" s="47">
        <f>calc_Isc/1000</f>
        <v>1.718354778</v>
      </c>
      <c r="D32" s="44" t="s">
        <v>19</v>
      </c>
      <c r="E32" s="44"/>
      <c r="F32" s="45"/>
      <c r="G32" s="11"/>
      <c r="I32" s="24"/>
      <c r="J32" s="48">
        <f>(1038.7*(input_Inches^-1.4738)*input_Sec)*((0.0093*((calc_Isc/1000)^2))-(0.3453*((calc_Isc/1000)))+5.975)</f>
        <v>79.35888115</v>
      </c>
      <c r="K32" s="29" t="s">
        <v>25</v>
      </c>
      <c r="L32" s="30"/>
      <c r="M32" s="31" t="s">
        <v>38</v>
      </c>
      <c r="N32" s="25"/>
    </row>
    <row r="33">
      <c r="A33" s="2"/>
      <c r="B33" s="12"/>
      <c r="C33" s="49">
        <f>input_volts/1000</f>
        <v>0.48</v>
      </c>
      <c r="D33" s="44" t="s">
        <v>39</v>
      </c>
      <c r="E33" s="44"/>
      <c r="F33" s="45"/>
      <c r="G33" s="11"/>
      <c r="I33" s="50"/>
      <c r="J33" s="51"/>
      <c r="K33" s="51"/>
      <c r="L33" s="51"/>
      <c r="M33" s="51"/>
      <c r="N33" s="52"/>
    </row>
    <row r="34">
      <c r="A34" s="2"/>
      <c r="B34" s="12"/>
      <c r="C34" s="53">
        <f>input_Sec</f>
        <v>1</v>
      </c>
      <c r="D34" s="54" t="s">
        <v>9</v>
      </c>
      <c r="E34" s="44"/>
      <c r="F34" s="45"/>
      <c r="G34" s="11"/>
    </row>
    <row r="35">
      <c r="A35" s="2"/>
      <c r="B35" s="12"/>
      <c r="C35" s="53">
        <f>input_Inches</f>
        <v>18</v>
      </c>
      <c r="D35" s="2" t="s">
        <v>11</v>
      </c>
      <c r="E35" s="44"/>
      <c r="F35" s="45"/>
      <c r="G35" s="11"/>
    </row>
    <row r="36">
      <c r="B36" s="12"/>
      <c r="C36" s="46"/>
      <c r="D36" s="44"/>
      <c r="E36" s="44"/>
      <c r="F36" s="45"/>
      <c r="G36" s="11"/>
    </row>
    <row r="37">
      <c r="A37" s="33"/>
      <c r="B37" s="12"/>
      <c r="C37" s="55">
        <f>(793*(calc_Isc/1000)*input_kV*input_Sec)/(input_Inches^2)</f>
        <v>2.018748651</v>
      </c>
      <c r="D37" s="56" t="s">
        <v>25</v>
      </c>
      <c r="E37" s="57"/>
      <c r="F37" s="58" t="s">
        <v>40</v>
      </c>
      <c r="G37" s="11"/>
    </row>
    <row r="38">
      <c r="B38" s="59"/>
      <c r="C38" s="60"/>
      <c r="D38" s="60"/>
      <c r="E38" s="60"/>
      <c r="F38" s="60"/>
      <c r="G38" s="61"/>
    </row>
  </sheetData>
  <conditionalFormatting sqref="J36">
    <cfRule type="notContainsBlanks" dxfId="0" priority="1">
      <formula>LEN(TRIM(J36))&gt;0</formula>
    </cfRule>
  </conditionalFormatting>
  <conditionalFormatting sqref="E29">
    <cfRule type="expression" dxfId="1" priority="2">
      <formula>if(J6&lt;=600,TRUE,FALSE)</formula>
    </cfRule>
  </conditionalFormatting>
  <conditionalFormatting sqref="C33">
    <cfRule type="expression" dxfId="2" priority="3">
      <formula>if(J6&lt;=600,TRUE,FALSE)</formula>
    </cfRule>
  </conditionalFormatting>
  <conditionalFormatting sqref="L12">
    <cfRule type="expression" dxfId="1" priority="4">
      <formula>if(J6&gt;600,TRUE,FALSE)</formula>
    </cfRule>
  </conditionalFormatting>
  <conditionalFormatting sqref="L12">
    <cfRule type="expression" dxfId="1" priority="5">
      <formula>if(J6&gt;600,TRUE,FALSE)</formula>
    </cfRule>
  </conditionalFormatting>
  <conditionalFormatting sqref="J22">
    <cfRule type="expression" dxfId="1" priority="6">
      <formula>if(J6&gt;600,TRUE,FALSE)</formula>
    </cfRule>
  </conditionalFormatting>
  <conditionalFormatting sqref="J32">
    <cfRule type="expression" dxfId="2" priority="7">
      <formula>if(J6&gt;600,TRUE,FALSE)</formula>
    </cfRule>
  </conditionalFormatting>
  <conditionalFormatting sqref="C37">
    <cfRule type="expression" dxfId="2" priority="8">
      <formula>if(J6&lt;=600,TRUE,FALSE)</formula>
    </cfRule>
  </conditionalFormatting>
  <dataValidations>
    <dataValidation type="decimal" operator="greaterThanOrEqual" allowBlank="1" showDropDown="1" showInputMessage="1" showErrorMessage="1" prompt="Enter a number greater than or equal to 18" sqref="J9">
      <formula1>18.0</formula1>
    </dataValidation>
  </dataValidations>
  <drawing r:id="rId1"/>
</worksheet>
</file>